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2" windowHeight="9300" activeTab="0"/>
  </bookViews>
  <sheets>
    <sheet name="Vergleich" sheetId="1" r:id="rId1"/>
  </sheets>
  <definedNames/>
  <calcPr fullCalcOnLoad="1"/>
</workbook>
</file>

<file path=xl/comments1.xml><?xml version="1.0" encoding="utf-8"?>
<comments xmlns="http://schemas.openxmlformats.org/spreadsheetml/2006/main">
  <authors>
    <author>schuju5x</author>
    <author>juergen</author>
  </authors>
  <commentList>
    <comment ref="A62" authorId="0">
      <text>
        <r>
          <rPr>
            <sz val="8"/>
            <rFont val="Tahoma"/>
            <family val="0"/>
          </rPr>
          <t>wieviel mehr muss man verdienen, damit sich die Selbständigkeit lohnt ? (Vollauslastung unterstellt!)</t>
        </r>
      </text>
    </comment>
    <comment ref="A71" authorId="0">
      <text>
        <r>
          <rPr>
            <sz val="8"/>
            <rFont val="Tahoma"/>
            <family val="2"/>
          </rPr>
          <t>i.dR. der Wert von oben, als Vergleich</t>
        </r>
      </text>
    </comment>
    <comment ref="A63" authorId="0">
      <text>
        <r>
          <rPr>
            <b/>
            <sz val="8"/>
            <rFont val="Tahoma"/>
            <family val="0"/>
          </rPr>
          <t>Rücklagen, um Durststrecken  auszugleichen</t>
        </r>
      </text>
    </comment>
    <comment ref="A119" authorId="0">
      <text>
        <r>
          <rPr>
            <b/>
            <sz val="8"/>
            <rFont val="Tahoma"/>
            <family val="0"/>
          </rPr>
          <t xml:space="preserve">Der Stundensatz inklusive Aufschlag  wird korrigiert, da die im Basisstundensatz angenommene Gesamtsumme im Jahr erreicht werden muss, jedoch infolge der zusätzlichen Zeitaufwände nicht die angenomme Stunden gearbeitet werden kann. Die nichtbezahlten Zeiten inkl Fahrtzeiten müssen - wie bei der Berechnung des Vergleichswertes beim Angestellten auch - mitfinanziert werden.
</t>
        </r>
        <r>
          <rPr>
            <sz val="8"/>
            <rFont val="Tahoma"/>
            <family val="0"/>
          </rPr>
          <t xml:space="preserve">
</t>
        </r>
      </text>
    </comment>
    <comment ref="A82" authorId="0">
      <text>
        <r>
          <rPr>
            <b/>
            <sz val="8"/>
            <rFont val="Tahoma"/>
            <family val="0"/>
          </rPr>
          <t>Dieser Stundenzahl wäre zu erheben, wenn der Selbständige seinen Umsatz mit der zur Verfügung stehenden Stundenzahl ohne Zeitverluste und  ohne weiteren finanziellen Aufwand erreichen kann.
Dieser Wert stellt den absoluten Mindestumsatz bei home office dar, jeweils Minimalsatz und Maximalsatz</t>
        </r>
        <r>
          <rPr>
            <sz val="8"/>
            <rFont val="Tahoma"/>
            <family val="0"/>
          </rPr>
          <t xml:space="preserve">
</t>
        </r>
      </text>
    </comment>
    <comment ref="A89" authorId="0">
      <text>
        <r>
          <rPr>
            <b/>
            <sz val="8"/>
            <rFont val="Tahoma"/>
            <family val="0"/>
          </rPr>
          <t>Je nach Dauer des Projektes teilt sich die zur Verfügung stehende Gesamtzeit auf, wobei fixe Zeiten für Projektgewinnung unterschiedlich ins Gewicht fallen. Kürze Projekte erforden daher IMMER einen höheren Stundensatz.</t>
        </r>
        <r>
          <rPr>
            <sz val="8"/>
            <rFont val="Tahoma"/>
            <family val="0"/>
          </rPr>
          <t xml:space="preserve">
</t>
        </r>
      </text>
    </comment>
    <comment ref="A94" authorId="0">
      <text>
        <r>
          <rPr>
            <b/>
            <sz val="8"/>
            <rFont val="Tahoma"/>
            <family val="2"/>
          </rPr>
          <t xml:space="preserve">Die geschätzte Zahl der effektiven Tage vor ort. </t>
        </r>
        <r>
          <rPr>
            <b/>
            <sz val="8"/>
            <color indexed="17"/>
            <rFont val="Tahoma"/>
            <family val="2"/>
          </rPr>
          <t>Gfs überschreiben.</t>
        </r>
        <r>
          <rPr>
            <sz val="8"/>
            <rFont val="Tahoma"/>
            <family val="0"/>
          </rPr>
          <t xml:space="preserve">
</t>
        </r>
      </text>
    </comment>
    <comment ref="A105" authorId="0">
      <text>
        <r>
          <rPr>
            <b/>
            <sz val="8"/>
            <rFont val="Tahoma"/>
            <family val="0"/>
          </rPr>
          <t xml:space="preserve">Die gemäß der vorstehenden Angaben berechneten Mehrkosten, die von diesem Projekt konkret verursacht werden und direkt refinanziert werden müssen.
</t>
        </r>
        <r>
          <rPr>
            <b/>
            <sz val="8"/>
            <color indexed="17"/>
            <rFont val="Tahoma"/>
            <family val="2"/>
          </rPr>
          <t>Gfs überscheiben.</t>
        </r>
        <r>
          <rPr>
            <sz val="8"/>
            <rFont val="Tahoma"/>
            <family val="0"/>
          </rPr>
          <t xml:space="preserve">
</t>
        </r>
      </text>
    </comment>
    <comment ref="A107" authorId="0">
      <text>
        <r>
          <rPr>
            <b/>
            <sz val="8"/>
            <rFont val="Tahoma"/>
            <family val="0"/>
          </rPr>
          <t>Die Projektmehrkosten werden auf die bezahlten Stunden verteilt.</t>
        </r>
        <r>
          <rPr>
            <sz val="8"/>
            <rFont val="Tahoma"/>
            <family val="0"/>
          </rPr>
          <t xml:space="preserve">
</t>
        </r>
      </text>
    </comment>
    <comment ref="A108" authorId="0">
      <text>
        <r>
          <rPr>
            <b/>
            <sz val="8"/>
            <rFont val="Tahoma"/>
            <family val="0"/>
          </rPr>
          <t xml:space="preserve">Ein Zwischenwert, der die Kosten im Projekt beinhaltet und als Basis für die folgende Berechnung dient.
</t>
        </r>
        <r>
          <rPr>
            <b/>
            <sz val="8"/>
            <color indexed="10"/>
            <rFont val="Tahoma"/>
            <family val="2"/>
          </rPr>
          <t>Nicht überchreiben!</t>
        </r>
      </text>
    </comment>
    <comment ref="A118" authorId="0">
      <text>
        <r>
          <rPr>
            <b/>
            <sz val="8"/>
            <rFont val="Tahoma"/>
            <family val="0"/>
          </rPr>
          <t>Dies ist die Bruttozeit im Projekt, die von der im Jahr zur Verfügung stehenden Gesamtzeit = Bezugszeit all-inclusice abgeht. Da sie größer ist, als die bezahlte Projektzeit, muss der bisher ermittelte Stundensatz korrigiert werden.</t>
        </r>
        <r>
          <rPr>
            <sz val="8"/>
            <rFont val="Tahoma"/>
            <family val="0"/>
          </rPr>
          <t xml:space="preserve">
</t>
        </r>
      </text>
    </comment>
    <comment ref="A121" authorId="0">
      <text>
        <r>
          <rPr>
            <b/>
            <sz val="8"/>
            <rFont val="Tahoma"/>
            <family val="0"/>
          </rPr>
          <t>Dieser Stundensatz enthält tatsächlich alle Zeiten (inklusive allgemeinem und konkretem Leerlauf) sowie die gesamten Kosten. Er führt, wenn man solche Projekte permanent aneinander reiht  zu exakt demselben "Gehalt",  wie eingangs beim Angestellten angenommen.
Er gilt also für eine normierte Situation ohne Reserve für Unvorhergesehenes und eine mittlere Konjunktur.</t>
        </r>
        <r>
          <rPr>
            <sz val="8"/>
            <rFont val="Tahoma"/>
            <family val="0"/>
          </rPr>
          <t xml:space="preserve">
</t>
        </r>
      </text>
    </comment>
    <comment ref="A103" authorId="0">
      <text>
        <r>
          <rPr>
            <b/>
            <sz val="8"/>
            <rFont val="Tahoma"/>
            <family val="0"/>
          </rPr>
          <t>Anschaffungen für dieses Projekt, die nicht schon allgemein erfasst sind.</t>
        </r>
      </text>
    </comment>
    <comment ref="A104" authorId="0">
      <text>
        <r>
          <rPr>
            <b/>
            <sz val="8"/>
            <rFont val="Tahoma"/>
            <family val="2"/>
          </rPr>
          <t>Anfahrt, Bewerbung, Schriftverkehr, Angebot, Vorstellung, Telefoninterview</t>
        </r>
        <r>
          <rPr>
            <sz val="8"/>
            <rFont val="Tahoma"/>
            <family val="0"/>
          </rPr>
          <t xml:space="preserve">
</t>
        </r>
      </text>
    </comment>
    <comment ref="A114" authorId="0">
      <text>
        <r>
          <rPr>
            <b/>
            <sz val="8"/>
            <rFont val="Tahoma"/>
            <family val="0"/>
          </rPr>
          <t>Zeiten für Anfahrt, Bewerbung, Schriftverkehr, Angebot, Vorstellung, Telefoninterview</t>
        </r>
        <r>
          <rPr>
            <sz val="8"/>
            <rFont val="Tahoma"/>
            <family val="0"/>
          </rPr>
          <t xml:space="preserve">
</t>
        </r>
      </text>
    </comment>
    <comment ref="A115" authorId="0">
      <text>
        <r>
          <rPr>
            <b/>
            <sz val="8"/>
            <rFont val="Tahoma"/>
            <family val="0"/>
          </rPr>
          <t>Behördenaktivität (Auslandsprojekt), Wohnungssuche, Rechnungen, Projektberichte, Zeiterfassungen, Abwicklung</t>
        </r>
        <r>
          <rPr>
            <sz val="8"/>
            <rFont val="Tahoma"/>
            <family val="0"/>
          </rPr>
          <t xml:space="preserve">
</t>
        </r>
      </text>
    </comment>
    <comment ref="A116" authorId="0">
      <text>
        <r>
          <rPr>
            <b/>
            <sz val="8"/>
            <rFont val="Tahoma"/>
            <family val="0"/>
          </rPr>
          <t>Zeiten, die im Projekt entstehen, weil unerwartet weder zuhause noch vorort gearbeitet werden kann. Z.B. Kunde verpasst Termin, Autbahnstau, Unfall, ungewollte Arbeitszeitunterbrechung beim Kunden.</t>
        </r>
      </text>
    </comment>
    <comment ref="A7" authorId="1">
      <text>
        <r>
          <rPr>
            <b/>
            <sz val="10"/>
            <rFont val="Tahoma"/>
            <family val="0"/>
          </rPr>
          <t>Krankheit wird als Aufwand fuer den Beruf gerechnet, da keine bezahlte echte Freizeit</t>
        </r>
        <r>
          <rPr>
            <sz val="10"/>
            <rFont val="Tahoma"/>
            <family val="0"/>
          </rPr>
          <t xml:space="preserve">
</t>
        </r>
      </text>
    </comment>
    <comment ref="A42" authorId="1">
      <text>
        <r>
          <rPr>
            <b/>
            <sz val="10"/>
            <rFont val="Tahoma"/>
            <family val="0"/>
          </rPr>
          <t>Dies wäre der etwaige Kostensatz für die Beschäftigung eines externen Freelancers</t>
        </r>
      </text>
    </comment>
    <comment ref="A70" authorId="1">
      <text>
        <r>
          <rPr>
            <sz val="10"/>
            <rFont val="Tahoma"/>
            <family val="0"/>
          </rPr>
          <t xml:space="preserve">Minimalstundensatz, wenn alle Zeit in die Arbeit flösse
</t>
        </r>
      </text>
    </comment>
    <comment ref="D82" authorId="1">
      <text>
        <r>
          <rPr>
            <b/>
            <sz val="10"/>
            <rFont val="Tahoma"/>
            <family val="0"/>
          </rPr>
          <t>minimaler Satz bei Vollauslastung</t>
        </r>
        <r>
          <rPr>
            <sz val="10"/>
            <rFont val="Tahoma"/>
            <family val="0"/>
          </rPr>
          <t xml:space="preserve">
</t>
        </r>
      </text>
    </comment>
    <comment ref="G82" authorId="1">
      <text>
        <r>
          <rPr>
            <b/>
            <sz val="10"/>
            <rFont val="Tahoma"/>
            <family val="0"/>
          </rPr>
          <t>minimaler Satz bei Vollauslastung</t>
        </r>
        <r>
          <rPr>
            <sz val="10"/>
            <rFont val="Tahoma"/>
            <family val="0"/>
          </rPr>
          <t xml:space="preserve">
</t>
        </r>
      </text>
    </comment>
  </commentList>
</comments>
</file>

<file path=xl/sharedStrings.xml><?xml version="1.0" encoding="utf-8"?>
<sst xmlns="http://schemas.openxmlformats.org/spreadsheetml/2006/main" count="202" uniqueCount="110">
  <si>
    <t>Arbeitsstunden im Jahr</t>
  </si>
  <si>
    <t>min</t>
  </si>
  <si>
    <t>h</t>
  </si>
  <si>
    <t>€</t>
  </si>
  <si>
    <t>Arbeitsstunden am Tag</t>
  </si>
  <si>
    <t>Weiterbildung</t>
  </si>
  <si>
    <t>Messebesuche</t>
  </si>
  <si>
    <t>Übernachtungen</t>
  </si>
  <si>
    <t>Projektstunden am Tag</t>
  </si>
  <si>
    <t>Nettostundensatz Kunde</t>
  </si>
  <si>
    <t>Gesamtstunden beim Kunden</t>
  </si>
  <si>
    <t>Homeofficeanteil</t>
  </si>
  <si>
    <t>Sonstige Stunden</t>
  </si>
  <si>
    <t>Arbeitstage beim Kunden</t>
  </si>
  <si>
    <t>Einmalige Projektmehrkosten</t>
  </si>
  <si>
    <t>wöchentliche Anfahrt einfach</t>
  </si>
  <si>
    <t>Allgemeine Aquise / Werbung</t>
  </si>
  <si>
    <t>bezahlte Projektstunden</t>
  </si>
  <si>
    <t>Gesamtprojektmehrkosten</t>
  </si>
  <si>
    <t>T</t>
  </si>
  <si>
    <t>W</t>
  </si>
  <si>
    <t>x</t>
  </si>
  <si>
    <t>tägliche Anfahrt Kunde</t>
  </si>
  <si>
    <t>wöchentliche Reisevorbereitung</t>
  </si>
  <si>
    <t>Aufwand Anfertigung Steuer</t>
  </si>
  <si>
    <t>Reisezeitverlust im Projekt</t>
  </si>
  <si>
    <t>Gesamtzeitaufwand im Projekt</t>
  </si>
  <si>
    <t>Übernachtungskosten Netto</t>
  </si>
  <si>
    <t>Berechung der Angestelltensituation</t>
  </si>
  <si>
    <t>Anfahrt je Tag einfacher Weg</t>
  </si>
  <si>
    <t>gesamte Anfahrtzeit im Jahr</t>
  </si>
  <si>
    <t>Unbezahlte Überstunden im Jahr</t>
  </si>
  <si>
    <t>Aufwand für Steuererklärung</t>
  </si>
  <si>
    <t>Sonstiger Aufwand für den Beruf</t>
  </si>
  <si>
    <t>Vergleichsumsatz des Selbständigen</t>
  </si>
  <si>
    <t>gesamtes Jahresbrutto inkl Zulagen</t>
  </si>
  <si>
    <t>Nachteil fehlende Arbeitslosenversicherung</t>
  </si>
  <si>
    <t>Nominelles Brutto von oben</t>
  </si>
  <si>
    <t>Weiterbildungskosten</t>
  </si>
  <si>
    <t>Bürokosten</t>
  </si>
  <si>
    <t>Kompensation Krankheit / Arbeitsausfall</t>
  </si>
  <si>
    <t>Leerlauf, der nicht als Urlaub rechenbar ist</t>
  </si>
  <si>
    <t>Maximale Projektstunden im Jahr</t>
  </si>
  <si>
    <t>Minimaler Basis-Stundensatz</t>
  </si>
  <si>
    <t>privater Vorteil von Abschreibungen / Kosten</t>
  </si>
  <si>
    <t>Zeiteinsatz für berufliche Tätigkeit wie oben</t>
  </si>
  <si>
    <t>Mehraufwand für Selbständigkeit</t>
  </si>
  <si>
    <t>Konkrete Projektkalkulation</t>
  </si>
  <si>
    <t>Arbeitswochen beim Kunden</t>
  </si>
  <si>
    <t>tägliche Fahrtkosten zum Kunden</t>
  </si>
  <si>
    <t>Vorteil Verpflegungsmehraufwand</t>
  </si>
  <si>
    <t>Zusatzkosten je Tag beim Kunden</t>
  </si>
  <si>
    <t>resultierender nomineller Stundensatz</t>
  </si>
  <si>
    <t>Gesamtleistung durch den AG</t>
  </si>
  <si>
    <t>effektiver Stundensatz des Angestellten</t>
  </si>
  <si>
    <t>jählicher Zeitaufwand für den Beruf</t>
  </si>
  <si>
    <t>Kosten für eigene Krankenversicherung</t>
  </si>
  <si>
    <t>zusätzliche Versicherungen</t>
  </si>
  <si>
    <t>AG-Zuschuss zur RV</t>
  </si>
  <si>
    <t>Mehrkostenaufschlag je Projektstunde</t>
  </si>
  <si>
    <t>Sonstiges</t>
  </si>
  <si>
    <t>Zeitkorrekturfaktor für Stundensatz</t>
  </si>
  <si>
    <t>Projektleerlauf</t>
  </si>
  <si>
    <t>Aufwand Projekthandling / Rechnung</t>
  </si>
  <si>
    <t>Unbezahlte Weiterbildung in Eigenleistung</t>
  </si>
  <si>
    <t>Durch Selbständigkeit verursachte Fixkosten</t>
  </si>
  <si>
    <t>finanzieller Sollvorteil der Selbständigkeit</t>
  </si>
  <si>
    <t>Aufwand für Aquise dierses Projektes</t>
  </si>
  <si>
    <t>Zeiteinsatz für erfolglose Projektgewinnung</t>
  </si>
  <si>
    <t>tägliche Verpflegungsmehrkosten vor ort</t>
  </si>
  <si>
    <t>Kosten für Bewerbung für dieses Projekt</t>
  </si>
  <si>
    <t>zusätzliche Kosten durch Vorortätigkeit</t>
  </si>
  <si>
    <t>Feiertage</t>
  </si>
  <si>
    <t>sonstige Leistungen / Vorteile / VWL</t>
  </si>
  <si>
    <t>effektiver Bruttostundensatz</t>
  </si>
  <si>
    <t>Gesamtabzug für RV</t>
  </si>
  <si>
    <t>Gesamtabzug für KV + PV</t>
  </si>
  <si>
    <t>AG-Zuschuss zur KV + PV</t>
  </si>
  <si>
    <t>Nettogehalt vor Steuern</t>
  </si>
  <si>
    <t>ungefähres zu versteuerndes Einkommen</t>
  </si>
  <si>
    <t>Nettostundensatz</t>
  </si>
  <si>
    <t>geschätztes Netto</t>
  </si>
  <si>
    <t>Gesamtkosten für den AG</t>
  </si>
  <si>
    <t>effektive Arbeitsleistung des Angestellten</t>
  </si>
  <si>
    <t>Ausfall durch Krankheit</t>
  </si>
  <si>
    <t>gesparte Krankenversicherung</t>
  </si>
  <si>
    <t>Gesamtabzug für AV</t>
  </si>
  <si>
    <t>Eigene gleichwertige Rentenversicherung</t>
  </si>
  <si>
    <t>Vorteil gesparter RV - Beitrag</t>
  </si>
  <si>
    <t>Vorteil gesparter AV - Beitrag</t>
  </si>
  <si>
    <t>Werktage im Jahr</t>
  </si>
  <si>
    <t>Urlaubstage</t>
  </si>
  <si>
    <t>ca Steuern (KL1)</t>
  </si>
  <si>
    <t>Angestelltenkosten für den Arbeitgeber</t>
  </si>
  <si>
    <t>tatsächlicher Stundensatz für den AG</t>
  </si>
  <si>
    <t>Zeit für interne Schulungen / Messen</t>
  </si>
  <si>
    <t>AG-Zuschuss zur AV</t>
  </si>
  <si>
    <t>Gehalt für Angestellten inkl. Sozialleistungen</t>
  </si>
  <si>
    <t>Arbeitstage im Jahr inkl Krankheit</t>
  </si>
  <si>
    <t>Arbeitsplatzkosten inkl Verwaltung</t>
  </si>
  <si>
    <t>Abschreibungen</t>
  </si>
  <si>
    <t>Vergleichsgehalt des Angestellten / Faktor</t>
  </si>
  <si>
    <t>KFZ-Fixkosten / - Abschreibung</t>
  </si>
  <si>
    <t>Anschaffungen GWG</t>
  </si>
  <si>
    <t>Stundensatz für den Kunden (gerundet)</t>
  </si>
  <si>
    <t>Jahresmindestumsatz ohne Projektkosten</t>
  </si>
  <si>
    <t>Gemittelter Wert fuer weitere Variationsrechung</t>
  </si>
  <si>
    <t>Berechung des Basisstundensatzes</t>
  </si>
  <si>
    <t>Nachteil der nicht steuerfreien Sozialleistng</t>
  </si>
  <si>
    <t>zusätzliche Rücklagen (5%)</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</si>
</sst>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EUR&quot;\ #,##0_);\(&quot;EUR&quot;\ #,##0\)"/>
    <numFmt numFmtId="165" formatCode="&quot;EUR&quot;\ #,##0_);[Red]\(&quot;EUR&quot;\ #,##0\)"/>
    <numFmt numFmtId="166" formatCode="&quot;EUR&quot;\ #,##0.00_);\(&quot;EUR&quot;\ #,##0.00\)"/>
    <numFmt numFmtId="167" formatCode="&quot;EUR&quot;\ #,##0.00_);[Red]\(&quot;EUR&quot;\ #,##0.00\)"/>
    <numFmt numFmtId="168" formatCode="_(&quot;EUR&quot;\ * #,##0_);_(&quot;EUR&quot;\ * \(#,##0\);_(&quot;EUR&quot;\ * &quot;-&quot;_);_(@_)"/>
    <numFmt numFmtId="169" formatCode="_(* #,##0_);_(* \(#,##0\);_(* &quot;-&quot;_);_(@_)"/>
    <numFmt numFmtId="170" formatCode="_(&quot;EUR&quot;\ * #,##0.00_);_(&quot;EUR&quot;\ * \(#,##0.00\);_(&quot;EU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000000"/>
    <numFmt numFmtId="180" formatCode="0.000000"/>
    <numFmt numFmtId="181" formatCode="0.00000"/>
    <numFmt numFmtId="182" formatCode="0.0000"/>
    <numFmt numFmtId="183" formatCode="0.000"/>
    <numFmt numFmtId="184" formatCode="0.000000000"/>
    <numFmt numFmtId="185" formatCode="0.00000000"/>
  </numFmts>
  <fonts count="22">
    <font>
      <sz val="10"/>
      <name val="Arial"/>
      <family val="0"/>
    </font>
    <font>
      <sz val="8"/>
      <name val="Arial"/>
      <family val="0"/>
    </font>
    <font>
      <b/>
      <sz val="10"/>
      <name val="Arial"/>
      <family val="2"/>
    </font>
    <font>
      <sz val="10"/>
      <color indexed="12"/>
      <name val="Arial"/>
      <family val="0"/>
    </font>
    <font>
      <b/>
      <sz val="10"/>
      <color indexed="21"/>
      <name val="Arial"/>
      <family val="2"/>
    </font>
    <font>
      <b/>
      <sz val="10"/>
      <color indexed="10"/>
      <name val="Arial"/>
      <family val="2"/>
    </font>
    <font>
      <sz val="8"/>
      <name val="Tahoma"/>
      <family val="0"/>
    </font>
    <font>
      <b/>
      <sz val="8"/>
      <name val="Tahoma"/>
      <family val="0"/>
    </font>
    <font>
      <b/>
      <sz val="10"/>
      <color indexed="14"/>
      <name val="Arial"/>
      <family val="2"/>
    </font>
    <font>
      <sz val="10"/>
      <color indexed="20"/>
      <name val="Arial"/>
      <family val="0"/>
    </font>
    <font>
      <b/>
      <sz val="10"/>
      <color indexed="17"/>
      <name val="Arial"/>
      <family val="2"/>
    </font>
    <font>
      <sz val="10"/>
      <color indexed="61"/>
      <name val="Arial"/>
      <family val="0"/>
    </font>
    <font>
      <sz val="10"/>
      <color indexed="10"/>
      <name val="Arial"/>
      <family val="2"/>
    </font>
    <font>
      <b/>
      <sz val="8"/>
      <color indexed="10"/>
      <name val="Tahoma"/>
      <family val="2"/>
    </font>
    <font>
      <b/>
      <sz val="8"/>
      <color indexed="17"/>
      <name val="Tahoma"/>
      <family val="2"/>
    </font>
    <font>
      <sz val="10"/>
      <color indexed="17"/>
      <name val="Arial"/>
      <family val="2"/>
    </font>
    <font>
      <b/>
      <sz val="10"/>
      <color indexed="20"/>
      <name val="Arial"/>
      <family val="2"/>
    </font>
    <font>
      <sz val="10"/>
      <name val="Tahoma"/>
      <family val="0"/>
    </font>
    <font>
      <b/>
      <sz val="10"/>
      <name val="Tahoma"/>
      <family val="0"/>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42"/>
        <bgColor indexed="64"/>
      </patternFill>
    </fill>
    <fill>
      <patternFill patternType="solid">
        <fgColor indexed="45"/>
        <bgColor indexed="64"/>
      </patternFill>
    </fill>
  </fills>
  <borders count="18">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98">
    <xf numFmtId="0" fontId="0" fillId="0" borderId="0" xfId="0" applyAlignment="1">
      <alignment/>
    </xf>
    <xf numFmtId="178" fontId="3" fillId="0" borderId="0" xfId="0" applyNumberFormat="1" applyFont="1" applyBorder="1" applyAlignment="1">
      <alignment/>
    </xf>
    <xf numFmtId="0" fontId="0" fillId="0" borderId="0" xfId="0" applyBorder="1" applyAlignment="1">
      <alignment/>
    </xf>
    <xf numFmtId="0" fontId="3" fillId="0" borderId="0" xfId="0" applyFont="1" applyBorder="1" applyAlignment="1">
      <alignment/>
    </xf>
    <xf numFmtId="2" fontId="3" fillId="0" borderId="0" xfId="0" applyNumberFormat="1" applyFont="1" applyBorder="1" applyAlignment="1">
      <alignment/>
    </xf>
    <xf numFmtId="0" fontId="4" fillId="0" borderId="0" xfId="0" applyFont="1" applyBorder="1" applyAlignment="1">
      <alignment/>
    </xf>
    <xf numFmtId="2" fontId="0" fillId="0" borderId="0" xfId="0" applyNumberFormat="1" applyBorder="1" applyAlignment="1">
      <alignment/>
    </xf>
    <xf numFmtId="2" fontId="2" fillId="0" borderId="0" xfId="0" applyNumberFormat="1" applyFont="1" applyBorder="1" applyAlignment="1">
      <alignment/>
    </xf>
    <xf numFmtId="1" fontId="0" fillId="0" borderId="0" xfId="0" applyNumberFormat="1" applyBorder="1" applyAlignment="1">
      <alignment/>
    </xf>
    <xf numFmtId="1" fontId="2" fillId="0" borderId="0" xfId="0" applyNumberFormat="1" applyFont="1" applyBorder="1" applyAlignment="1">
      <alignment/>
    </xf>
    <xf numFmtId="2" fontId="5" fillId="0" borderId="0" xfId="0" applyNumberFormat="1" applyFont="1" applyBorder="1" applyAlignment="1">
      <alignment/>
    </xf>
    <xf numFmtId="0" fontId="0" fillId="0" borderId="0" xfId="0" applyBorder="1" applyAlignment="1">
      <alignment horizontal="left"/>
    </xf>
    <xf numFmtId="0" fontId="2" fillId="0" borderId="0" xfId="0" applyFont="1" applyBorder="1" applyAlignment="1">
      <alignment/>
    </xf>
    <xf numFmtId="0" fontId="2" fillId="0" borderId="0" xfId="0" applyFont="1" applyBorder="1" applyAlignment="1">
      <alignment horizontal="left"/>
    </xf>
    <xf numFmtId="0" fontId="5" fillId="0" borderId="0" xfId="0" applyFont="1" applyBorder="1" applyAlignment="1">
      <alignment/>
    </xf>
    <xf numFmtId="0" fontId="0" fillId="0" borderId="0" xfId="0" applyFill="1" applyBorder="1" applyAlignment="1">
      <alignment/>
    </xf>
    <xf numFmtId="0" fontId="3" fillId="0" borderId="0" xfId="0" applyFont="1" applyFill="1" applyBorder="1" applyAlignment="1">
      <alignment/>
    </xf>
    <xf numFmtId="0" fontId="3" fillId="2" borderId="0" xfId="0" applyFont="1" applyFill="1" applyBorder="1" applyAlignment="1">
      <alignment/>
    </xf>
    <xf numFmtId="0" fontId="3" fillId="3" borderId="0" xfId="0" applyFont="1" applyFill="1" applyBorder="1" applyAlignment="1">
      <alignment/>
    </xf>
    <xf numFmtId="0" fontId="0" fillId="0" borderId="0" xfId="0" applyFont="1" applyBorder="1" applyAlignment="1">
      <alignment/>
    </xf>
    <xf numFmtId="0" fontId="10" fillId="0" borderId="1" xfId="0" applyFont="1" applyBorder="1" applyAlignment="1">
      <alignment/>
    </xf>
    <xf numFmtId="0" fontId="0" fillId="0" borderId="2" xfId="0" applyBorder="1" applyAlignment="1">
      <alignment/>
    </xf>
    <xf numFmtId="0" fontId="0" fillId="0" borderId="3" xfId="0" applyBorder="1" applyAlignment="1">
      <alignment/>
    </xf>
    <xf numFmtId="178" fontId="3" fillId="0" borderId="4" xfId="0" applyNumberFormat="1" applyFont="1" applyBorder="1" applyAlignment="1">
      <alignment/>
    </xf>
    <xf numFmtId="0" fontId="0" fillId="0" borderId="5" xfId="0" applyBorder="1" applyAlignment="1">
      <alignment/>
    </xf>
    <xf numFmtId="1" fontId="3" fillId="0" borderId="4" xfId="0" applyNumberFormat="1" applyFont="1" applyBorder="1" applyAlignment="1">
      <alignment horizontal="right"/>
    </xf>
    <xf numFmtId="0" fontId="11" fillId="0" borderId="4" xfId="0" applyFont="1" applyFill="1" applyBorder="1" applyAlignment="1">
      <alignment/>
    </xf>
    <xf numFmtId="2" fontId="9" fillId="0" borderId="4" xfId="0" applyNumberFormat="1" applyFont="1" applyBorder="1" applyAlignment="1">
      <alignment/>
    </xf>
    <xf numFmtId="0" fontId="4" fillId="0" borderId="4" xfId="0" applyFont="1" applyBorder="1" applyAlignment="1">
      <alignment/>
    </xf>
    <xf numFmtId="0" fontId="3" fillId="0" borderId="4" xfId="0" applyFont="1" applyBorder="1" applyAlignment="1">
      <alignment/>
    </xf>
    <xf numFmtId="1" fontId="0" fillId="0" borderId="4" xfId="0" applyNumberFormat="1" applyBorder="1" applyAlignment="1">
      <alignment/>
    </xf>
    <xf numFmtId="1" fontId="8" fillId="0" borderId="4" xfId="0" applyNumberFormat="1" applyFont="1" applyBorder="1" applyAlignment="1">
      <alignment/>
    </xf>
    <xf numFmtId="2" fontId="2" fillId="0" borderId="4" xfId="0" applyNumberFormat="1" applyFont="1" applyBorder="1" applyAlignment="1">
      <alignment/>
    </xf>
    <xf numFmtId="1" fontId="15" fillId="0" borderId="4" xfId="0" applyNumberFormat="1" applyFont="1" applyBorder="1" applyAlignment="1">
      <alignment/>
    </xf>
    <xf numFmtId="1" fontId="4" fillId="0" borderId="4" xfId="0" applyNumberFormat="1" applyFont="1" applyBorder="1" applyAlignment="1">
      <alignment/>
    </xf>
    <xf numFmtId="0" fontId="9" fillId="0" borderId="4" xfId="0" applyFont="1" applyBorder="1" applyAlignment="1">
      <alignment/>
    </xf>
    <xf numFmtId="1" fontId="9" fillId="0" borderId="4" xfId="0" applyNumberFormat="1" applyFont="1" applyBorder="1" applyAlignment="1">
      <alignment/>
    </xf>
    <xf numFmtId="2" fontId="16" fillId="0" borderId="4" xfId="0" applyNumberFormat="1" applyFont="1" applyBorder="1" applyAlignment="1">
      <alignment/>
    </xf>
    <xf numFmtId="0" fontId="3" fillId="0" borderId="4" xfId="0" applyFont="1" applyBorder="1" applyAlignment="1">
      <alignment/>
    </xf>
    <xf numFmtId="0" fontId="9" fillId="0" borderId="4" xfId="0" applyFont="1" applyBorder="1" applyAlignment="1">
      <alignment/>
    </xf>
    <xf numFmtId="0" fontId="0" fillId="0" borderId="4" xfId="0" applyBorder="1" applyAlignment="1">
      <alignment/>
    </xf>
    <xf numFmtId="0" fontId="5" fillId="0" borderId="4" xfId="0" applyFont="1" applyBorder="1" applyAlignment="1">
      <alignment/>
    </xf>
    <xf numFmtId="0" fontId="2" fillId="0" borderId="4" xfId="0" applyFont="1" applyBorder="1" applyAlignment="1">
      <alignment/>
    </xf>
    <xf numFmtId="1" fontId="2" fillId="0" borderId="4" xfId="0" applyNumberFormat="1" applyFont="1" applyBorder="1" applyAlignment="1">
      <alignment/>
    </xf>
    <xf numFmtId="0" fontId="3" fillId="2" borderId="4" xfId="0" applyFont="1" applyFill="1" applyBorder="1" applyAlignment="1">
      <alignment/>
    </xf>
    <xf numFmtId="0" fontId="3" fillId="3" borderId="5" xfId="0" applyFont="1" applyFill="1" applyBorder="1" applyAlignment="1">
      <alignment/>
    </xf>
    <xf numFmtId="178" fontId="3" fillId="0" borderId="5" xfId="0" applyNumberFormat="1" applyFont="1" applyBorder="1" applyAlignment="1">
      <alignment/>
    </xf>
    <xf numFmtId="2" fontId="3" fillId="0" borderId="4" xfId="0" applyNumberFormat="1" applyFont="1" applyBorder="1" applyAlignment="1">
      <alignment/>
    </xf>
    <xf numFmtId="2" fontId="3" fillId="0" borderId="5" xfId="0" applyNumberFormat="1" applyFont="1" applyBorder="1" applyAlignment="1">
      <alignment/>
    </xf>
    <xf numFmtId="2" fontId="2" fillId="0" borderId="5" xfId="0" applyNumberFormat="1" applyFont="1" applyBorder="1" applyAlignment="1">
      <alignment/>
    </xf>
    <xf numFmtId="2" fontId="0" fillId="0" borderId="4" xfId="0" applyNumberFormat="1" applyBorder="1" applyAlignment="1">
      <alignment/>
    </xf>
    <xf numFmtId="2" fontId="0" fillId="0" borderId="5" xfId="0" applyNumberFormat="1" applyBorder="1" applyAlignment="1">
      <alignment/>
    </xf>
    <xf numFmtId="2" fontId="5" fillId="0" borderId="4" xfId="0" applyNumberFormat="1" applyFont="1" applyBorder="1" applyAlignment="1">
      <alignment/>
    </xf>
    <xf numFmtId="2" fontId="5" fillId="0" borderId="5" xfId="0" applyNumberFormat="1" applyFont="1" applyBorder="1" applyAlignment="1">
      <alignment/>
    </xf>
    <xf numFmtId="0" fontId="3" fillId="0" borderId="5" xfId="0" applyFont="1" applyBorder="1" applyAlignment="1">
      <alignment/>
    </xf>
    <xf numFmtId="1" fontId="0" fillId="0" borderId="5" xfId="0" applyNumberFormat="1" applyBorder="1" applyAlignment="1">
      <alignment/>
    </xf>
    <xf numFmtId="0" fontId="3" fillId="0" borderId="4" xfId="0" applyFont="1" applyFill="1" applyBorder="1" applyAlignment="1">
      <alignment/>
    </xf>
    <xf numFmtId="0" fontId="3" fillId="0" borderId="5" xfId="0" applyFont="1" applyFill="1" applyBorder="1" applyAlignment="1">
      <alignment/>
    </xf>
    <xf numFmtId="2" fontId="2" fillId="2" borderId="6" xfId="0" applyNumberFormat="1" applyFont="1" applyFill="1" applyBorder="1" applyAlignment="1">
      <alignment/>
    </xf>
    <xf numFmtId="2" fontId="2" fillId="3" borderId="7" xfId="0" applyNumberFormat="1" applyFont="1" applyFill="1" applyBorder="1" applyAlignment="1">
      <alignment/>
    </xf>
    <xf numFmtId="0" fontId="0" fillId="0" borderId="7" xfId="0" applyFill="1" applyBorder="1" applyAlignment="1">
      <alignment/>
    </xf>
    <xf numFmtId="2" fontId="2" fillId="2" borderId="7" xfId="0" applyNumberFormat="1" applyFont="1" applyFill="1" applyBorder="1" applyAlignment="1">
      <alignment/>
    </xf>
    <xf numFmtId="2" fontId="2" fillId="3" borderId="8" xfId="0" applyNumberFormat="1" applyFont="1" applyFill="1" applyBorder="1" applyAlignment="1">
      <alignment/>
    </xf>
    <xf numFmtId="0" fontId="0" fillId="0" borderId="7" xfId="0" applyBorder="1" applyAlignment="1">
      <alignment/>
    </xf>
    <xf numFmtId="0" fontId="0" fillId="0" borderId="8" xfId="0" applyBorder="1" applyAlignment="1">
      <alignment/>
    </xf>
    <xf numFmtId="0" fontId="2" fillId="0" borderId="7" xfId="0" applyFont="1" applyBorder="1" applyAlignment="1">
      <alignment/>
    </xf>
    <xf numFmtId="0" fontId="0" fillId="0" borderId="1" xfId="0" applyBorder="1" applyAlignment="1">
      <alignment horizontal="left"/>
    </xf>
    <xf numFmtId="0" fontId="3" fillId="0" borderId="9"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0" fillId="0" borderId="4" xfId="0" applyBorder="1" applyAlignment="1">
      <alignment horizontal="left"/>
    </xf>
    <xf numFmtId="0" fontId="0" fillId="0" borderId="4" xfId="0" applyFont="1" applyBorder="1" applyAlignment="1">
      <alignment horizontal="left"/>
    </xf>
    <xf numFmtId="0" fontId="0" fillId="0" borderId="6" xfId="0" applyBorder="1" applyAlignment="1">
      <alignment horizontal="left"/>
    </xf>
    <xf numFmtId="1" fontId="8" fillId="0" borderId="1" xfId="0" applyNumberFormat="1" applyFont="1" applyBorder="1" applyAlignment="1">
      <alignment/>
    </xf>
    <xf numFmtId="1" fontId="8" fillId="0" borderId="2" xfId="0" applyNumberFormat="1" applyFont="1" applyBorder="1" applyAlignment="1">
      <alignment/>
    </xf>
    <xf numFmtId="2" fontId="5" fillId="0" borderId="13" xfId="0" applyNumberFormat="1" applyFont="1" applyFill="1" applyBorder="1" applyAlignment="1">
      <alignment/>
    </xf>
    <xf numFmtId="2" fontId="5" fillId="0" borderId="14" xfId="0" applyNumberFormat="1" applyFont="1" applyFill="1" applyBorder="1" applyAlignment="1">
      <alignment/>
    </xf>
    <xf numFmtId="0" fontId="12" fillId="0" borderId="7" xfId="0" applyFont="1" applyFill="1" applyBorder="1" applyAlignment="1">
      <alignment/>
    </xf>
    <xf numFmtId="2" fontId="5" fillId="0" borderId="15" xfId="0" applyNumberFormat="1" applyFont="1" applyFill="1" applyBorder="1" applyAlignment="1">
      <alignment/>
    </xf>
    <xf numFmtId="2" fontId="5" fillId="0" borderId="16" xfId="0" applyNumberFormat="1" applyFont="1" applyFill="1" applyBorder="1" applyAlignment="1">
      <alignment/>
    </xf>
    <xf numFmtId="0" fontId="4" fillId="0" borderId="9" xfId="0" applyFont="1" applyBorder="1" applyAlignment="1">
      <alignment/>
    </xf>
    <xf numFmtId="0" fontId="0" fillId="0" borderId="17" xfId="0" applyBorder="1" applyAlignment="1">
      <alignment/>
    </xf>
    <xf numFmtId="0" fontId="4" fillId="0" borderId="10" xfId="0" applyFont="1" applyBorder="1" applyAlignment="1">
      <alignment/>
    </xf>
    <xf numFmtId="0" fontId="0" fillId="0" borderId="6" xfId="0" applyFont="1" applyBorder="1" applyAlignment="1">
      <alignment/>
    </xf>
    <xf numFmtId="2" fontId="2" fillId="0" borderId="7" xfId="0" applyNumberFormat="1" applyFont="1" applyBorder="1" applyAlignment="1">
      <alignment/>
    </xf>
    <xf numFmtId="2" fontId="9" fillId="0" borderId="6" xfId="0" applyNumberFormat="1" applyFont="1" applyBorder="1" applyAlignment="1">
      <alignment/>
    </xf>
    <xf numFmtId="0" fontId="3" fillId="0" borderId="1" xfId="0" applyFont="1" applyBorder="1" applyAlignment="1">
      <alignment/>
    </xf>
    <xf numFmtId="2" fontId="16" fillId="0" borderId="6" xfId="0" applyNumberFormat="1" applyFont="1" applyBorder="1" applyAlignment="1">
      <alignment/>
    </xf>
    <xf numFmtId="0" fontId="4" fillId="0" borderId="7" xfId="0" applyFont="1" applyBorder="1" applyAlignment="1">
      <alignment/>
    </xf>
    <xf numFmtId="1" fontId="15" fillId="0" borderId="1" xfId="0" applyNumberFormat="1" applyFont="1" applyBorder="1" applyAlignment="1">
      <alignment/>
    </xf>
    <xf numFmtId="0" fontId="4" fillId="0" borderId="2" xfId="0" applyFont="1" applyBorder="1" applyAlignment="1">
      <alignment/>
    </xf>
    <xf numFmtId="2" fontId="4" fillId="0" borderId="6" xfId="0" applyNumberFormat="1" applyFont="1" applyBorder="1" applyAlignment="1">
      <alignment/>
    </xf>
    <xf numFmtId="2" fontId="0" fillId="0" borderId="4" xfId="0" applyNumberFormat="1" applyFont="1" applyBorder="1" applyAlignment="1">
      <alignment/>
    </xf>
    <xf numFmtId="2" fontId="0" fillId="0" borderId="0" xfId="0" applyNumberFormat="1" applyFont="1" applyBorder="1" applyAlignment="1">
      <alignment/>
    </xf>
    <xf numFmtId="2" fontId="0" fillId="0" borderId="5" xfId="0" applyNumberFormat="1" applyFont="1" applyBorder="1" applyAlignment="1">
      <alignment/>
    </xf>
    <xf numFmtId="0" fontId="0" fillId="0" borderId="8" xfId="0" applyFill="1" applyBorder="1" applyAlignment="1">
      <alignment/>
    </xf>
    <xf numFmtId="0" fontId="3" fillId="0" borderId="0" xfId="0" applyFont="1"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1"/>
  <sheetViews>
    <sheetView tabSelected="1" workbookViewId="0" topLeftCell="A1">
      <selection activeCell="A97" sqref="A97"/>
    </sheetView>
  </sheetViews>
  <sheetFormatPr defaultColWidth="11.421875" defaultRowHeight="12.75"/>
  <cols>
    <col min="1" max="1" width="37.57421875" style="11" bestFit="1" customWidth="1"/>
    <col min="2" max="2" width="4.00390625" style="2" bestFit="1" customWidth="1"/>
    <col min="3" max="3" width="0.9921875" style="2" customWidth="1"/>
    <col min="4" max="4" width="7.28125" style="2" customWidth="1"/>
    <col min="5" max="5" width="7.57421875" style="2" bestFit="1" customWidth="1"/>
    <col min="6" max="6" width="1.28515625" style="2" customWidth="1"/>
    <col min="7" max="7" width="7.28125" style="2" customWidth="1"/>
    <col min="8" max="8" width="7.57421875" style="2" bestFit="1" customWidth="1"/>
    <col min="9" max="9" width="2.28125" style="2" customWidth="1"/>
    <col min="10" max="16384" width="9.140625" style="2" customWidth="1"/>
  </cols>
  <sheetData>
    <row r="1" ht="13.5" thickBot="1">
      <c r="A1" s="13" t="s">
        <v>28</v>
      </c>
    </row>
    <row r="2" spans="1:8" ht="12.75">
      <c r="A2" s="66" t="s">
        <v>35</v>
      </c>
      <c r="B2" s="21" t="s">
        <v>3</v>
      </c>
      <c r="C2" s="21"/>
      <c r="D2" s="20">
        <v>65000</v>
      </c>
      <c r="E2" s="21"/>
      <c r="F2" s="21"/>
      <c r="G2" s="21"/>
      <c r="H2" s="22"/>
    </row>
    <row r="3" spans="1:8" ht="12.75">
      <c r="A3" s="71" t="s">
        <v>4</v>
      </c>
      <c r="B3" s="2" t="s">
        <v>2</v>
      </c>
      <c r="D3" s="23">
        <v>8</v>
      </c>
      <c r="H3" s="24"/>
    </row>
    <row r="4" spans="1:8" ht="12.75">
      <c r="A4" s="71" t="s">
        <v>90</v>
      </c>
      <c r="B4" s="2" t="s">
        <v>19</v>
      </c>
      <c r="D4" s="25">
        <v>260</v>
      </c>
      <c r="H4" s="24"/>
    </row>
    <row r="5" spans="1:8" ht="12.75">
      <c r="A5" s="71" t="s">
        <v>72</v>
      </c>
      <c r="B5" s="15" t="s">
        <v>19</v>
      </c>
      <c r="D5" s="25">
        <v>8</v>
      </c>
      <c r="H5" s="24"/>
    </row>
    <row r="6" spans="1:8" ht="12.75">
      <c r="A6" s="71" t="s">
        <v>91</v>
      </c>
      <c r="B6" s="2" t="s">
        <v>19</v>
      </c>
      <c r="D6" s="25">
        <v>30</v>
      </c>
      <c r="H6" s="24"/>
    </row>
    <row r="7" spans="1:8" ht="12.75">
      <c r="A7" s="71" t="s">
        <v>98</v>
      </c>
      <c r="B7" s="15" t="s">
        <v>19</v>
      </c>
      <c r="D7" s="25">
        <f>D4-D5-D6</f>
        <v>222</v>
      </c>
      <c r="H7" s="24"/>
    </row>
    <row r="8" spans="1:8" ht="12.75">
      <c r="A8" s="71" t="s">
        <v>0</v>
      </c>
      <c r="B8" s="2" t="s">
        <v>2</v>
      </c>
      <c r="D8" s="26">
        <f>D3*D7</f>
        <v>1776</v>
      </c>
      <c r="H8" s="24"/>
    </row>
    <row r="9" spans="1:8" ht="13.5" thickBot="1">
      <c r="A9" s="73" t="s">
        <v>52</v>
      </c>
      <c r="B9" s="63" t="s">
        <v>3</v>
      </c>
      <c r="C9" s="63"/>
      <c r="D9" s="86">
        <f>INT(10*D2/D8)/10</f>
        <v>36.5</v>
      </c>
      <c r="E9" s="63"/>
      <c r="F9" s="63"/>
      <c r="G9" s="63"/>
      <c r="H9" s="64"/>
    </row>
    <row r="10" spans="4:8" ht="6.75" customHeight="1">
      <c r="D10" s="27"/>
      <c r="H10" s="24"/>
    </row>
    <row r="11" spans="1:8" ht="13.5" thickBot="1">
      <c r="A11" s="13" t="s">
        <v>54</v>
      </c>
      <c r="D11" s="28"/>
      <c r="H11" s="24"/>
    </row>
    <row r="12" spans="1:8" ht="12.75">
      <c r="A12" s="66" t="s">
        <v>29</v>
      </c>
      <c r="B12" s="21" t="s">
        <v>1</v>
      </c>
      <c r="C12" s="21"/>
      <c r="D12" s="87">
        <v>30</v>
      </c>
      <c r="E12" s="21"/>
      <c r="F12" s="21"/>
      <c r="G12" s="21"/>
      <c r="H12" s="22"/>
    </row>
    <row r="13" spans="1:8" ht="12.75">
      <c r="A13" s="71" t="s">
        <v>30</v>
      </c>
      <c r="B13" s="2" t="s">
        <v>2</v>
      </c>
      <c r="D13" s="30">
        <f>225*D12/30</f>
        <v>225</v>
      </c>
      <c r="H13" s="24"/>
    </row>
    <row r="14" spans="1:8" ht="12.75">
      <c r="A14" s="71" t="s">
        <v>64</v>
      </c>
      <c r="B14" s="2" t="s">
        <v>2</v>
      </c>
      <c r="D14" s="29">
        <v>20</v>
      </c>
      <c r="H14" s="24"/>
    </row>
    <row r="15" spans="1:8" ht="12.75">
      <c r="A15" s="71" t="s">
        <v>31</v>
      </c>
      <c r="B15" s="2" t="s">
        <v>2</v>
      </c>
      <c r="D15" s="29">
        <v>30</v>
      </c>
      <c r="H15" s="24"/>
    </row>
    <row r="16" spans="1:8" ht="12.75">
      <c r="A16" s="71" t="s">
        <v>32</v>
      </c>
      <c r="B16" s="2" t="s">
        <v>2</v>
      </c>
      <c r="D16" s="29">
        <v>30</v>
      </c>
      <c r="H16" s="24"/>
    </row>
    <row r="17" spans="1:8" ht="12.75">
      <c r="A17" s="71" t="s">
        <v>33</v>
      </c>
      <c r="B17" s="2" t="s">
        <v>2</v>
      </c>
      <c r="D17" s="29">
        <v>10</v>
      </c>
      <c r="H17" s="24"/>
    </row>
    <row r="18" spans="1:8" ht="12.75">
      <c r="A18" s="71" t="s">
        <v>55</v>
      </c>
      <c r="B18" s="2" t="s">
        <v>2</v>
      </c>
      <c r="D18" s="31">
        <f>D8+D13+D14+D15+D16+D17</f>
        <v>2091</v>
      </c>
      <c r="H18" s="24"/>
    </row>
    <row r="19" spans="1:8" ht="12.75">
      <c r="A19" s="71" t="s">
        <v>74</v>
      </c>
      <c r="B19" s="2" t="s">
        <v>3</v>
      </c>
      <c r="D19" s="32">
        <f>INT(10*D35/D18)/10</f>
        <v>36.5</v>
      </c>
      <c r="H19" s="24"/>
    </row>
    <row r="20" spans="1:8" ht="12.75">
      <c r="A20" s="71" t="s">
        <v>58</v>
      </c>
      <c r="B20" s="2" t="s">
        <v>3</v>
      </c>
      <c r="D20" s="29">
        <f>IF(D2&gt;64800,INT(0.199*64800/2),INT(0.199*D2/2))</f>
        <v>6447</v>
      </c>
      <c r="H20" s="24"/>
    </row>
    <row r="21" spans="1:8" ht="12.75">
      <c r="A21" s="71" t="s">
        <v>96</v>
      </c>
      <c r="B21" s="2" t="s">
        <v>3</v>
      </c>
      <c r="D21" s="29">
        <f>IF(D2&gt;64800,INT(0.0395*64800/2),INT(0.0395*D2/2))</f>
        <v>1279</v>
      </c>
      <c r="H21" s="24"/>
    </row>
    <row r="22" spans="1:8" ht="12.75">
      <c r="A22" s="71" t="s">
        <v>77</v>
      </c>
      <c r="B22" s="2" t="s">
        <v>3</v>
      </c>
      <c r="D22" s="29">
        <f>IF(D2&gt;48000,INT(0.15*48000/2),INT(0.15*D2/2))</f>
        <v>3600</v>
      </c>
      <c r="H22" s="24"/>
    </row>
    <row r="23" spans="1:8" ht="12.75">
      <c r="A23" s="71" t="s">
        <v>73</v>
      </c>
      <c r="B23" s="2" t="s">
        <v>3</v>
      </c>
      <c r="D23" s="29">
        <v>200</v>
      </c>
      <c r="H23" s="24"/>
    </row>
    <row r="24" spans="1:8" ht="12.75">
      <c r="A24" s="71" t="s">
        <v>53</v>
      </c>
      <c r="B24" s="2" t="s">
        <v>3</v>
      </c>
      <c r="D24" s="33">
        <f>D2+D20+D21+D22+D23</f>
        <v>76526</v>
      </c>
      <c r="H24" s="24"/>
    </row>
    <row r="25" spans="1:8" ht="12.75">
      <c r="A25" s="71" t="s">
        <v>75</v>
      </c>
      <c r="B25" s="2" t="s">
        <v>3</v>
      </c>
      <c r="D25" s="29">
        <f>IF(D2&gt;64800,INT(0.199*64800),INT(0.199*D2))</f>
        <v>12895</v>
      </c>
      <c r="H25" s="24"/>
    </row>
    <row r="26" spans="1:8" ht="12.75">
      <c r="A26" s="71" t="s">
        <v>86</v>
      </c>
      <c r="B26" s="2" t="s">
        <v>3</v>
      </c>
      <c r="D26" s="29">
        <f>IF(D2&gt;64800,INT(0.0395*64800),INT(0.0395*D2))</f>
        <v>2559</v>
      </c>
      <c r="H26" s="24"/>
    </row>
    <row r="27" spans="1:8" ht="12.75">
      <c r="A27" s="71" t="s">
        <v>76</v>
      </c>
      <c r="B27" s="2" t="s">
        <v>3</v>
      </c>
      <c r="D27" s="29">
        <f>IF(D2&gt;44100,INT(0.159*44100),INT(0.159*D2))</f>
        <v>7011</v>
      </c>
      <c r="H27" s="24"/>
    </row>
    <row r="28" spans="1:8" ht="12.75">
      <c r="A28" s="71" t="s">
        <v>78</v>
      </c>
      <c r="B28" s="2" t="s">
        <v>3</v>
      </c>
      <c r="C28" s="5"/>
      <c r="D28" s="34">
        <f>D24-D25-D26-D27</f>
        <v>54061</v>
      </c>
      <c r="H28" s="24"/>
    </row>
    <row r="29" spans="1:8" ht="12.75">
      <c r="A29" s="71" t="s">
        <v>79</v>
      </c>
      <c r="B29" s="2" t="s">
        <v>3</v>
      </c>
      <c r="C29" s="5"/>
      <c r="D29" s="35">
        <f>INT((D28-3500)/100)*100</f>
        <v>50500</v>
      </c>
      <c r="H29" s="24"/>
    </row>
    <row r="30" spans="1:8" ht="12.75">
      <c r="A30" s="71" t="s">
        <v>92</v>
      </c>
      <c r="B30" s="2" t="s">
        <v>3</v>
      </c>
      <c r="C30" s="5"/>
      <c r="D30" s="36">
        <f>IF(D29&lt;7664,0,IF(D29&lt;12740,(883.74*(D29-7664)/10000+1500)*(D29-7664)/10000,IF(D29&lt;52152,(228.74*(D29-12739)/10000+2397)*(D29-12739)/10000+989,0.42*D29-7914)))</f>
        <v>13301.899624975402</v>
      </c>
      <c r="H30" s="24"/>
    </row>
    <row r="31" spans="1:8" ht="12.75">
      <c r="A31" s="71" t="s">
        <v>81</v>
      </c>
      <c r="B31" s="2" t="s">
        <v>3</v>
      </c>
      <c r="C31" s="5"/>
      <c r="D31" s="36">
        <f>D28-D30</f>
        <v>40759.1003750246</v>
      </c>
      <c r="H31" s="24"/>
    </row>
    <row r="32" spans="1:8" ht="13.5" thickBot="1">
      <c r="A32" s="73" t="s">
        <v>80</v>
      </c>
      <c r="B32" s="63" t="s">
        <v>3</v>
      </c>
      <c r="C32" s="89"/>
      <c r="D32" s="88">
        <f>INT(D31/D18*10)/10</f>
        <v>19.4</v>
      </c>
      <c r="E32" s="63"/>
      <c r="F32" s="63"/>
      <c r="G32" s="63"/>
      <c r="H32" s="64"/>
    </row>
    <row r="33" spans="3:8" ht="6.75" customHeight="1">
      <c r="C33" s="5"/>
      <c r="D33" s="37"/>
      <c r="H33" s="24"/>
    </row>
    <row r="34" spans="1:8" ht="13.5" thickBot="1">
      <c r="A34" s="13" t="s">
        <v>93</v>
      </c>
      <c r="D34" s="27"/>
      <c r="H34" s="24"/>
    </row>
    <row r="35" spans="1:8" ht="12.75">
      <c r="A35" s="66" t="s">
        <v>97</v>
      </c>
      <c r="B35" s="21" t="s">
        <v>3</v>
      </c>
      <c r="C35" s="91"/>
      <c r="D35" s="90">
        <f>D24</f>
        <v>76526</v>
      </c>
      <c r="E35" s="21"/>
      <c r="F35" s="21"/>
      <c r="G35" s="21"/>
      <c r="H35" s="22"/>
    </row>
    <row r="36" spans="1:8" ht="12.75">
      <c r="A36" s="71" t="s">
        <v>99</v>
      </c>
      <c r="B36" s="2" t="s">
        <v>3</v>
      </c>
      <c r="C36" s="5"/>
      <c r="D36" s="38">
        <v>25000</v>
      </c>
      <c r="H36" s="24"/>
    </row>
    <row r="37" spans="1:8" ht="12.75">
      <c r="A37" s="71" t="s">
        <v>38</v>
      </c>
      <c r="B37" s="2" t="s">
        <v>3</v>
      </c>
      <c r="C37" s="5"/>
      <c r="D37" s="38">
        <v>2500</v>
      </c>
      <c r="H37" s="24"/>
    </row>
    <row r="38" spans="1:8" ht="12.75">
      <c r="A38" s="71" t="s">
        <v>82</v>
      </c>
      <c r="B38" s="2" t="s">
        <v>3</v>
      </c>
      <c r="C38" s="5"/>
      <c r="D38" s="38">
        <f>INT((D35+D36+D37)/100)*100</f>
        <v>104000</v>
      </c>
      <c r="H38" s="24"/>
    </row>
    <row r="39" spans="1:8" ht="12.75">
      <c r="A39" s="71" t="s">
        <v>95</v>
      </c>
      <c r="B39" s="15" t="s">
        <v>2</v>
      </c>
      <c r="C39" s="5"/>
      <c r="D39" s="38">
        <v>60</v>
      </c>
      <c r="H39" s="24"/>
    </row>
    <row r="40" spans="1:8" ht="12.75">
      <c r="A40" s="71" t="s">
        <v>84</v>
      </c>
      <c r="B40" s="15" t="s">
        <v>2</v>
      </c>
      <c r="C40" s="5"/>
      <c r="D40" s="38">
        <v>40</v>
      </c>
      <c r="H40" s="24"/>
    </row>
    <row r="41" spans="1:8" ht="12.75">
      <c r="A41" s="71" t="s">
        <v>83</v>
      </c>
      <c r="B41" s="15" t="s">
        <v>2</v>
      </c>
      <c r="C41" s="5"/>
      <c r="D41" s="39">
        <f>D8-D39-D40</f>
        <v>1676</v>
      </c>
      <c r="H41" s="24"/>
    </row>
    <row r="42" spans="1:8" ht="13.5" thickBot="1">
      <c r="A42" s="73" t="s">
        <v>94</v>
      </c>
      <c r="B42" s="60" t="s">
        <v>3</v>
      </c>
      <c r="C42" s="63"/>
      <c r="D42" s="92">
        <f>INT(10*D38/D41)/10</f>
        <v>62</v>
      </c>
      <c r="E42" s="63"/>
      <c r="F42" s="63"/>
      <c r="G42" s="63"/>
      <c r="H42" s="64"/>
    </row>
    <row r="43" spans="4:8" ht="6" customHeight="1">
      <c r="D43" s="28"/>
      <c r="H43" s="24"/>
    </row>
    <row r="44" spans="4:8" ht="6" customHeight="1">
      <c r="D44" s="28"/>
      <c r="H44" s="24"/>
    </row>
    <row r="45" spans="1:8" ht="13.5" thickBot="1">
      <c r="A45" s="13" t="s">
        <v>34</v>
      </c>
      <c r="D45" s="40"/>
      <c r="H45" s="24"/>
    </row>
    <row r="46" spans="1:8" ht="12.75">
      <c r="A46" s="66" t="s">
        <v>37</v>
      </c>
      <c r="B46" s="21" t="s">
        <v>3</v>
      </c>
      <c r="C46" s="21"/>
      <c r="D46" s="81">
        <f>D35</f>
        <v>76526</v>
      </c>
      <c r="E46" s="82"/>
      <c r="F46" s="82"/>
      <c r="G46" s="83">
        <f>D46</f>
        <v>76526</v>
      </c>
      <c r="H46" s="22"/>
    </row>
    <row r="47" spans="1:8" ht="12.75">
      <c r="A47" s="71" t="s">
        <v>108</v>
      </c>
      <c r="B47" s="2" t="s">
        <v>3</v>
      </c>
      <c r="D47" s="38">
        <f>INT((D20+D21+D22-2600)*0.045)*10</f>
        <v>3920</v>
      </c>
      <c r="G47" s="97">
        <f>D47</f>
        <v>3920</v>
      </c>
      <c r="H47" s="24"/>
    </row>
    <row r="48" spans="1:8" ht="12.75">
      <c r="A48" s="71" t="s">
        <v>88</v>
      </c>
      <c r="B48" s="2" t="s">
        <v>3</v>
      </c>
      <c r="D48" s="29">
        <f>-D25</f>
        <v>-12895</v>
      </c>
      <c r="G48" s="3">
        <f>D48</f>
        <v>-12895</v>
      </c>
      <c r="H48" s="24"/>
    </row>
    <row r="49" spans="1:8" ht="12.75">
      <c r="A49" s="71" t="s">
        <v>87</v>
      </c>
      <c r="B49" s="2" t="s">
        <v>3</v>
      </c>
      <c r="D49" s="29">
        <f>-INT(0.075*D48)*10</f>
        <v>9680</v>
      </c>
      <c r="G49" s="3">
        <f>-INT(0.08*G48)*10</f>
        <v>10320</v>
      </c>
      <c r="H49" s="24"/>
    </row>
    <row r="50" spans="1:8" ht="12.75">
      <c r="A50" s="71" t="s">
        <v>89</v>
      </c>
      <c r="B50" s="2" t="s">
        <v>3</v>
      </c>
      <c r="D50" s="29">
        <f>-D21</f>
        <v>-1279</v>
      </c>
      <c r="G50" s="3">
        <f>D50</f>
        <v>-1279</v>
      </c>
      <c r="H50" s="24"/>
    </row>
    <row r="51" spans="1:8" ht="12.75">
      <c r="A51" s="71" t="s">
        <v>36</v>
      </c>
      <c r="B51" s="2" t="s">
        <v>3</v>
      </c>
      <c r="D51" s="29">
        <v>1000</v>
      </c>
      <c r="G51" s="3">
        <v>3000</v>
      </c>
      <c r="H51" s="24"/>
    </row>
    <row r="52" spans="1:8" ht="12.75">
      <c r="A52" s="71" t="s">
        <v>85</v>
      </c>
      <c r="B52" s="2" t="s">
        <v>3</v>
      </c>
      <c r="D52" s="29">
        <f>-D27</f>
        <v>-7011</v>
      </c>
      <c r="G52" s="3">
        <f>D52</f>
        <v>-7011</v>
      </c>
      <c r="H52" s="24"/>
    </row>
    <row r="53" spans="1:8" ht="12.75">
      <c r="A53" s="71" t="s">
        <v>56</v>
      </c>
      <c r="B53" s="2" t="s">
        <v>3</v>
      </c>
      <c r="D53" s="29">
        <v>6000</v>
      </c>
      <c r="G53" s="3">
        <v>6000</v>
      </c>
      <c r="H53" s="24"/>
    </row>
    <row r="54" spans="1:8" ht="12.75">
      <c r="A54" s="71" t="s">
        <v>65</v>
      </c>
      <c r="B54" s="2" t="s">
        <v>3</v>
      </c>
      <c r="D54" s="29">
        <v>500</v>
      </c>
      <c r="G54" s="3">
        <v>1000</v>
      </c>
      <c r="H54" s="24"/>
    </row>
    <row r="55" spans="1:8" ht="12.75">
      <c r="A55" s="71" t="s">
        <v>57</v>
      </c>
      <c r="B55" s="2" t="s">
        <v>3</v>
      </c>
      <c r="D55" s="29">
        <v>600</v>
      </c>
      <c r="G55" s="3">
        <v>1200</v>
      </c>
      <c r="H55" s="24"/>
    </row>
    <row r="56" spans="1:8" ht="12.75">
      <c r="A56" s="71" t="s">
        <v>38</v>
      </c>
      <c r="B56" s="2" t="s">
        <v>3</v>
      </c>
      <c r="D56" s="29">
        <v>1000</v>
      </c>
      <c r="G56" s="3">
        <v>3000</v>
      </c>
      <c r="H56" s="24"/>
    </row>
    <row r="57" spans="1:8" ht="12.75">
      <c r="A57" s="71" t="s">
        <v>39</v>
      </c>
      <c r="B57" s="2" t="s">
        <v>3</v>
      </c>
      <c r="D57" s="29">
        <v>1000</v>
      </c>
      <c r="G57" s="3">
        <v>2000</v>
      </c>
      <c r="H57" s="24"/>
    </row>
    <row r="58" spans="1:8" ht="12.75">
      <c r="A58" s="71" t="s">
        <v>103</v>
      </c>
      <c r="B58" s="2" t="s">
        <v>3</v>
      </c>
      <c r="D58" s="29">
        <v>3000</v>
      </c>
      <c r="G58" s="3">
        <v>5000</v>
      </c>
      <c r="H58" s="24"/>
    </row>
    <row r="59" spans="1:8" ht="12.75">
      <c r="A59" s="71" t="s">
        <v>100</v>
      </c>
      <c r="B59" s="2" t="s">
        <v>3</v>
      </c>
      <c r="D59" s="29">
        <v>2000</v>
      </c>
      <c r="G59" s="3">
        <v>3000</v>
      </c>
      <c r="H59" s="24"/>
    </row>
    <row r="60" spans="1:8" ht="12.75">
      <c r="A60" s="71" t="s">
        <v>102</v>
      </c>
      <c r="B60" s="2" t="s">
        <v>3</v>
      </c>
      <c r="D60" s="29">
        <v>4000</v>
      </c>
      <c r="G60" s="3">
        <v>6000</v>
      </c>
      <c r="H60" s="24"/>
    </row>
    <row r="61" spans="1:8" ht="12.75">
      <c r="A61" s="71" t="s">
        <v>44</v>
      </c>
      <c r="B61" s="2" t="s">
        <v>3</v>
      </c>
      <c r="D61" s="29">
        <v>-2000</v>
      </c>
      <c r="G61" s="3">
        <v>-3000</v>
      </c>
      <c r="H61" s="24"/>
    </row>
    <row r="62" spans="1:8" ht="12.75">
      <c r="A62" s="71" t="s">
        <v>66</v>
      </c>
      <c r="B62" s="2" t="s">
        <v>3</v>
      </c>
      <c r="D62" s="29">
        <v>2000</v>
      </c>
      <c r="G62" s="3">
        <v>3000</v>
      </c>
      <c r="H62" s="24"/>
    </row>
    <row r="63" spans="1:8" ht="12.75">
      <c r="A63" s="71" t="s">
        <v>109</v>
      </c>
      <c r="B63" s="2" t="s">
        <v>3</v>
      </c>
      <c r="D63" s="29">
        <v>5000</v>
      </c>
      <c r="G63" s="3">
        <v>5000</v>
      </c>
      <c r="H63" s="24"/>
    </row>
    <row r="64" spans="1:8" ht="12.75">
      <c r="A64" s="71" t="s">
        <v>105</v>
      </c>
      <c r="B64" s="2" t="s">
        <v>3</v>
      </c>
      <c r="D64" s="41">
        <f>INT(SUM(D46:D63)/100+0.5)*100</f>
        <v>93000</v>
      </c>
      <c r="G64" s="14">
        <f>INT(SUM(G46:G63)/100+0.5)*100</f>
        <v>104800</v>
      </c>
      <c r="H64" s="24"/>
    </row>
    <row r="65" spans="1:8" ht="12.75" customHeight="1">
      <c r="A65" s="71"/>
      <c r="D65" s="42"/>
      <c r="G65" s="12"/>
      <c r="H65" s="24"/>
    </row>
    <row r="66" spans="1:8" ht="12.75" customHeight="1">
      <c r="A66" s="71" t="s">
        <v>106</v>
      </c>
      <c r="D66" s="42">
        <f>INT((D64+G64)/1000+1)*500</f>
        <v>99000</v>
      </c>
      <c r="G66" s="12">
        <f>D66</f>
        <v>99000</v>
      </c>
      <c r="H66" s="24"/>
    </row>
    <row r="67" spans="1:8" ht="12.75" customHeight="1" thickBot="1">
      <c r="A67" s="73" t="s">
        <v>101</v>
      </c>
      <c r="B67" s="63"/>
      <c r="C67" s="63"/>
      <c r="D67" s="84">
        <f>D2</f>
        <v>65000</v>
      </c>
      <c r="E67" s="85">
        <f>D66/D67</f>
        <v>1.523076923076923</v>
      </c>
      <c r="F67" s="63"/>
      <c r="G67" s="65"/>
      <c r="H67" s="64"/>
    </row>
    <row r="68" spans="4:8" ht="12.75" customHeight="1">
      <c r="D68" s="42"/>
      <c r="G68" s="12"/>
      <c r="H68" s="24"/>
    </row>
    <row r="69" spans="4:8" ht="12.75" customHeight="1">
      <c r="D69" s="42"/>
      <c r="G69" s="12"/>
      <c r="H69" s="24"/>
    </row>
    <row r="70" spans="1:8" ht="13.5" thickBot="1">
      <c r="A70" s="13" t="s">
        <v>107</v>
      </c>
      <c r="D70" s="42"/>
      <c r="G70" s="12"/>
      <c r="H70" s="24"/>
    </row>
    <row r="71" spans="1:8" ht="12.75">
      <c r="A71" s="66" t="s">
        <v>45</v>
      </c>
      <c r="B71" s="21" t="s">
        <v>2</v>
      </c>
      <c r="C71" s="21"/>
      <c r="D71" s="74">
        <f>D18</f>
        <v>2091</v>
      </c>
      <c r="E71" s="21"/>
      <c r="F71" s="21"/>
      <c r="G71" s="75">
        <f>D71</f>
        <v>2091</v>
      </c>
      <c r="H71" s="22"/>
    </row>
    <row r="72" spans="1:8" ht="12.75">
      <c r="A72" s="71" t="s">
        <v>46</v>
      </c>
      <c r="B72" s="2" t="s">
        <v>2</v>
      </c>
      <c r="D72" s="29">
        <v>-20</v>
      </c>
      <c r="G72" s="3">
        <v>-20</v>
      </c>
      <c r="H72" s="24"/>
    </row>
    <row r="73" spans="1:8" ht="12.75">
      <c r="A73" s="71" t="s">
        <v>24</v>
      </c>
      <c r="B73" s="2" t="s">
        <v>2</v>
      </c>
      <c r="D73" s="29">
        <v>-40</v>
      </c>
      <c r="G73" s="3">
        <v>-60</v>
      </c>
      <c r="H73" s="24"/>
    </row>
    <row r="74" spans="1:8" ht="12.75">
      <c r="A74" s="71" t="s">
        <v>16</v>
      </c>
      <c r="B74" s="2" t="s">
        <v>2</v>
      </c>
      <c r="D74" s="29">
        <v>-30</v>
      </c>
      <c r="G74" s="3">
        <v>-40</v>
      </c>
      <c r="H74" s="24"/>
    </row>
    <row r="75" spans="1:8" ht="12.75">
      <c r="A75" s="71" t="s">
        <v>68</v>
      </c>
      <c r="B75" s="2" t="s">
        <v>2</v>
      </c>
      <c r="D75" s="29">
        <v>-40</v>
      </c>
      <c r="G75" s="3">
        <v>-60</v>
      </c>
      <c r="H75" s="24"/>
    </row>
    <row r="76" spans="1:8" ht="12.75">
      <c r="A76" s="71" t="s">
        <v>6</v>
      </c>
      <c r="B76" s="2" t="s">
        <v>2</v>
      </c>
      <c r="D76" s="29">
        <v>-20</v>
      </c>
      <c r="G76" s="3">
        <v>-40</v>
      </c>
      <c r="H76" s="24"/>
    </row>
    <row r="77" spans="1:8" ht="12.75">
      <c r="A77" s="71" t="s">
        <v>5</v>
      </c>
      <c r="B77" s="2" t="s">
        <v>2</v>
      </c>
      <c r="D77" s="29">
        <v>-80</v>
      </c>
      <c r="G77" s="3">
        <v>-120</v>
      </c>
      <c r="H77" s="24"/>
    </row>
    <row r="78" spans="1:8" ht="12.75">
      <c r="A78" s="71" t="s">
        <v>40</v>
      </c>
      <c r="B78" s="2" t="s">
        <v>2</v>
      </c>
      <c r="D78" s="29">
        <v>-60</v>
      </c>
      <c r="G78" s="3">
        <v>-80</v>
      </c>
      <c r="H78" s="24"/>
    </row>
    <row r="79" spans="1:8" ht="12.75">
      <c r="A79" s="71" t="s">
        <v>41</v>
      </c>
      <c r="B79" s="2" t="s">
        <v>2</v>
      </c>
      <c r="D79" s="29">
        <v>-40</v>
      </c>
      <c r="G79" s="3">
        <v>-60</v>
      </c>
      <c r="H79" s="24"/>
    </row>
    <row r="80" spans="1:8" ht="12.75">
      <c r="A80" s="71" t="s">
        <v>12</v>
      </c>
      <c r="B80" s="2" t="s">
        <v>2</v>
      </c>
      <c r="D80" s="29">
        <v>-20</v>
      </c>
      <c r="G80" s="3">
        <v>-30</v>
      </c>
      <c r="H80" s="24"/>
    </row>
    <row r="81" spans="1:8" ht="12.75">
      <c r="A81" s="71" t="s">
        <v>42</v>
      </c>
      <c r="B81" s="2" t="s">
        <v>2</v>
      </c>
      <c r="D81" s="43">
        <f>SUM(D71:D80)</f>
        <v>1741</v>
      </c>
      <c r="G81" s="9">
        <f>SUM(G71:G80)</f>
        <v>1581</v>
      </c>
      <c r="H81" s="24"/>
    </row>
    <row r="82" spans="1:8" ht="12.75" customHeight="1" thickBot="1">
      <c r="A82" s="73" t="s">
        <v>43</v>
      </c>
      <c r="B82" s="63" t="s">
        <v>3</v>
      </c>
      <c r="C82" s="63"/>
      <c r="D82" s="76">
        <f>INT(D66/D81*10+0.5)/10</f>
        <v>56.9</v>
      </c>
      <c r="E82" s="77"/>
      <c r="F82" s="78"/>
      <c r="G82" s="79">
        <f>INT(G66/G81*10+0.5)/10</f>
        <v>62.6</v>
      </c>
      <c r="H82" s="80"/>
    </row>
    <row r="83" spans="4:8" ht="6.75" customHeight="1">
      <c r="D83" s="40"/>
      <c r="H83" s="24"/>
    </row>
    <row r="84" spans="4:8" ht="12.75" customHeight="1">
      <c r="D84" s="40"/>
      <c r="H84" s="24"/>
    </row>
    <row r="85" spans="1:8" ht="12.75" customHeight="1">
      <c r="A85" s="71" t="s">
        <v>106</v>
      </c>
      <c r="C85" s="19"/>
      <c r="D85" s="93">
        <f>(D82+G82)/2</f>
        <v>59.75</v>
      </c>
      <c r="E85" s="94">
        <f>D85</f>
        <v>59.75</v>
      </c>
      <c r="F85" s="19"/>
      <c r="G85" s="94">
        <f>E85</f>
        <v>59.75</v>
      </c>
      <c r="H85" s="95">
        <f>G85</f>
        <v>59.75</v>
      </c>
    </row>
    <row r="86" spans="4:8" ht="12.75" customHeight="1">
      <c r="D86" s="40"/>
      <c r="H86" s="24"/>
    </row>
    <row r="87" spans="4:8" ht="12.75" customHeight="1">
      <c r="D87" s="40"/>
      <c r="H87" s="24"/>
    </row>
    <row r="88" spans="1:8" ht="13.5" thickBot="1">
      <c r="A88" s="13" t="s">
        <v>47</v>
      </c>
      <c r="D88" s="40"/>
      <c r="H88" s="24"/>
    </row>
    <row r="89" spans="1:8" ht="12.75">
      <c r="A89" s="66" t="s">
        <v>17</v>
      </c>
      <c r="B89" s="21" t="s">
        <v>2</v>
      </c>
      <c r="C89" s="22"/>
      <c r="D89" s="67">
        <v>900</v>
      </c>
      <c r="E89" s="68">
        <f>D89</f>
        <v>900</v>
      </c>
      <c r="F89" s="21"/>
      <c r="G89" s="69">
        <v>450</v>
      </c>
      <c r="H89" s="70">
        <v>450</v>
      </c>
    </row>
    <row r="90" spans="1:8" ht="12.75">
      <c r="A90" s="71" t="s">
        <v>11</v>
      </c>
      <c r="B90" s="2" t="s">
        <v>2</v>
      </c>
      <c r="C90" s="24"/>
      <c r="D90" s="44">
        <v>800</v>
      </c>
      <c r="E90" s="18">
        <v>100</v>
      </c>
      <c r="G90" s="17">
        <v>400</v>
      </c>
      <c r="H90" s="45">
        <v>50</v>
      </c>
    </row>
    <row r="91" spans="1:8" ht="12.75">
      <c r="A91" s="71" t="s">
        <v>10</v>
      </c>
      <c r="B91" s="2" t="s">
        <v>2</v>
      </c>
      <c r="C91" s="24"/>
      <c r="D91" s="40">
        <f>D89-D90</f>
        <v>100</v>
      </c>
      <c r="E91" s="2">
        <f>E89-E90</f>
        <v>800</v>
      </c>
      <c r="G91" s="2">
        <f>G89-G90</f>
        <v>50</v>
      </c>
      <c r="H91" s="24">
        <f>H89-H90</f>
        <v>400</v>
      </c>
    </row>
    <row r="92" spans="1:8" ht="6.75" customHeight="1">
      <c r="A92" s="71"/>
      <c r="C92" s="24"/>
      <c r="D92" s="40"/>
      <c r="H92" s="24"/>
    </row>
    <row r="93" spans="1:8" ht="12.75">
      <c r="A93" s="71" t="s">
        <v>8</v>
      </c>
      <c r="B93" s="2" t="s">
        <v>2</v>
      </c>
      <c r="C93" s="24"/>
      <c r="D93" s="23">
        <v>8</v>
      </c>
      <c r="E93" s="1">
        <v>8</v>
      </c>
      <c r="G93" s="1">
        <v>8</v>
      </c>
      <c r="H93" s="46">
        <v>8</v>
      </c>
    </row>
    <row r="94" spans="1:8" ht="12.75">
      <c r="A94" s="71" t="s">
        <v>13</v>
      </c>
      <c r="B94" s="2" t="s">
        <v>19</v>
      </c>
      <c r="C94" s="24"/>
      <c r="D94" s="40">
        <f>INT(D91/D93+0.5)</f>
        <v>13</v>
      </c>
      <c r="E94" s="2">
        <f>INT(E91/E93+0.5)</f>
        <v>100</v>
      </c>
      <c r="G94" s="2">
        <f>INT(G91/G93+0.5)</f>
        <v>6</v>
      </c>
      <c r="H94" s="24">
        <f>INT(H91/H93+0.5)</f>
        <v>50</v>
      </c>
    </row>
    <row r="95" spans="1:8" ht="12.75">
      <c r="A95" s="71" t="s">
        <v>48</v>
      </c>
      <c r="B95" s="2" t="s">
        <v>20</v>
      </c>
      <c r="C95" s="24"/>
      <c r="D95" s="40">
        <f>INT(D94/5+0.5)</f>
        <v>3</v>
      </c>
      <c r="E95" s="2">
        <f>INT(E94/5+0.5)</f>
        <v>20</v>
      </c>
      <c r="G95" s="2">
        <f>INT(G94/5+0.5)</f>
        <v>1</v>
      </c>
      <c r="H95" s="24">
        <f>INT(H94/5+0.5)</f>
        <v>10</v>
      </c>
    </row>
    <row r="96" spans="1:8" ht="12.75">
      <c r="A96" s="71" t="s">
        <v>7</v>
      </c>
      <c r="B96" s="2" t="s">
        <v>21</v>
      </c>
      <c r="C96" s="24"/>
      <c r="D96" s="40">
        <f>D95*4</f>
        <v>12</v>
      </c>
      <c r="E96" s="2">
        <f>E95*4</f>
        <v>80</v>
      </c>
      <c r="G96" s="2">
        <f>G95*4</f>
        <v>4</v>
      </c>
      <c r="H96" s="24">
        <f>H95*4</f>
        <v>40</v>
      </c>
    </row>
    <row r="97" spans="1:8" ht="12.75">
      <c r="A97" s="71" t="s">
        <v>27</v>
      </c>
      <c r="B97" s="2" t="s">
        <v>3</v>
      </c>
      <c r="C97" s="24"/>
      <c r="D97" s="47">
        <v>45</v>
      </c>
      <c r="E97" s="4">
        <v>50</v>
      </c>
      <c r="G97" s="4">
        <v>45</v>
      </c>
      <c r="H97" s="48">
        <v>50</v>
      </c>
    </row>
    <row r="98" spans="1:8" ht="12.75">
      <c r="A98" s="71" t="s">
        <v>69</v>
      </c>
      <c r="B98" s="2" t="s">
        <v>3</v>
      </c>
      <c r="C98" s="24"/>
      <c r="D98" s="47">
        <v>5</v>
      </c>
      <c r="E98" s="4">
        <v>10</v>
      </c>
      <c r="G98" s="4">
        <v>5</v>
      </c>
      <c r="H98" s="48">
        <v>10</v>
      </c>
    </row>
    <row r="99" spans="1:8" ht="12.75">
      <c r="A99" s="71" t="s">
        <v>49</v>
      </c>
      <c r="B99" s="2" t="s">
        <v>3</v>
      </c>
      <c r="C99" s="24"/>
      <c r="D99" s="47">
        <v>1</v>
      </c>
      <c r="E99" s="4">
        <v>3</v>
      </c>
      <c r="G99" s="4">
        <v>1</v>
      </c>
      <c r="H99" s="48">
        <v>3</v>
      </c>
    </row>
    <row r="100" spans="1:8" ht="12.75">
      <c r="A100" s="71" t="s">
        <v>50</v>
      </c>
      <c r="B100" s="2" t="s">
        <v>3</v>
      </c>
      <c r="C100" s="24"/>
      <c r="D100" s="47">
        <v>-24</v>
      </c>
      <c r="E100" s="4">
        <v>-24</v>
      </c>
      <c r="G100" s="4">
        <v>-24</v>
      </c>
      <c r="H100" s="48">
        <v>-24</v>
      </c>
    </row>
    <row r="101" spans="1:8" ht="12.75">
      <c r="A101" s="72" t="s">
        <v>51</v>
      </c>
      <c r="B101" s="2" t="s">
        <v>3</v>
      </c>
      <c r="C101" s="24"/>
      <c r="D101" s="32">
        <f>D97+D98+D99+D100</f>
        <v>27</v>
      </c>
      <c r="E101" s="7">
        <f>E97+E98+E99+E100</f>
        <v>39</v>
      </c>
      <c r="G101" s="7">
        <f>G97+G98+G99+G100</f>
        <v>27</v>
      </c>
      <c r="H101" s="49">
        <f>H97+H98+H99+H100</f>
        <v>39</v>
      </c>
    </row>
    <row r="102" spans="1:8" ht="12.75">
      <c r="A102" s="71" t="s">
        <v>71</v>
      </c>
      <c r="B102" s="2" t="s">
        <v>3</v>
      </c>
      <c r="C102" s="24"/>
      <c r="D102" s="50">
        <f>D101*D96</f>
        <v>324</v>
      </c>
      <c r="E102" s="6">
        <f>E101*E96</f>
        <v>3120</v>
      </c>
      <c r="G102" s="6">
        <f>G101*G96</f>
        <v>108</v>
      </c>
      <c r="H102" s="51">
        <f>H101*H96</f>
        <v>1560</v>
      </c>
    </row>
    <row r="103" spans="1:8" ht="12.75">
      <c r="A103" s="71" t="s">
        <v>14</v>
      </c>
      <c r="B103" s="2" t="s">
        <v>3</v>
      </c>
      <c r="C103" s="24"/>
      <c r="D103" s="47">
        <v>200</v>
      </c>
      <c r="E103" s="4">
        <v>300</v>
      </c>
      <c r="G103" s="4">
        <v>200</v>
      </c>
      <c r="H103" s="48">
        <v>300</v>
      </c>
    </row>
    <row r="104" spans="1:8" ht="12.75">
      <c r="A104" s="71" t="s">
        <v>70</v>
      </c>
      <c r="B104" s="2" t="s">
        <v>3</v>
      </c>
      <c r="C104" s="24"/>
      <c r="D104" s="47">
        <v>100</v>
      </c>
      <c r="E104" s="4">
        <v>200</v>
      </c>
      <c r="G104" s="4">
        <v>100</v>
      </c>
      <c r="H104" s="48">
        <v>200</v>
      </c>
    </row>
    <row r="105" spans="1:8" ht="12.75">
      <c r="A105" s="72" t="s">
        <v>18</v>
      </c>
      <c r="B105" s="2" t="s">
        <v>3</v>
      </c>
      <c r="C105" s="24"/>
      <c r="D105" s="32">
        <f>D102+D103+D104</f>
        <v>624</v>
      </c>
      <c r="E105" s="7">
        <f>E102+E103+E104</f>
        <v>3620</v>
      </c>
      <c r="G105" s="7">
        <f>G102+G103+G104</f>
        <v>408</v>
      </c>
      <c r="H105" s="49">
        <f>H102+H103+H104</f>
        <v>2060</v>
      </c>
    </row>
    <row r="106" spans="1:8" ht="7.5" customHeight="1">
      <c r="A106" s="71"/>
      <c r="C106" s="24"/>
      <c r="D106" s="40"/>
      <c r="H106" s="24"/>
    </row>
    <row r="107" spans="1:8" ht="12.75">
      <c r="A107" s="71" t="s">
        <v>59</v>
      </c>
      <c r="B107" s="2" t="s">
        <v>3</v>
      </c>
      <c r="C107" s="24"/>
      <c r="D107" s="32">
        <f>INT(10*D105/D89+1)/10</f>
        <v>0.7</v>
      </c>
      <c r="E107" s="7">
        <f>INT(10*E105/E89+1)/10</f>
        <v>4.1</v>
      </c>
      <c r="G107" s="7">
        <f>INT(10*G105/G89+1)/10</f>
        <v>1</v>
      </c>
      <c r="H107" s="49">
        <f>INT(10*H105/H89+1)/10</f>
        <v>4.6</v>
      </c>
    </row>
    <row r="108" spans="1:8" ht="12.75">
      <c r="A108" s="72" t="s">
        <v>9</v>
      </c>
      <c r="B108" s="2" t="s">
        <v>3</v>
      </c>
      <c r="C108" s="53">
        <f aca="true" t="shared" si="0" ref="C108:H108">C85+C107</f>
        <v>0</v>
      </c>
      <c r="D108" s="52">
        <f t="shared" si="0"/>
        <v>60.45</v>
      </c>
      <c r="E108" s="10">
        <f t="shared" si="0"/>
        <v>63.85</v>
      </c>
      <c r="F108" s="10">
        <f t="shared" si="0"/>
        <v>0</v>
      </c>
      <c r="G108" s="10">
        <f t="shared" si="0"/>
        <v>60.75</v>
      </c>
      <c r="H108" s="53">
        <f t="shared" si="0"/>
        <v>64.35</v>
      </c>
    </row>
    <row r="109" spans="1:8" ht="6" customHeight="1">
      <c r="A109" s="71"/>
      <c r="C109" s="24"/>
      <c r="D109" s="40"/>
      <c r="H109" s="24"/>
    </row>
    <row r="110" spans="1:8" ht="12.75">
      <c r="A110" s="71" t="s">
        <v>22</v>
      </c>
      <c r="B110" s="2" t="s">
        <v>1</v>
      </c>
      <c r="C110" s="24"/>
      <c r="D110" s="29">
        <v>10</v>
      </c>
      <c r="E110" s="3">
        <v>15</v>
      </c>
      <c r="G110" s="3">
        <v>10</v>
      </c>
      <c r="H110" s="54">
        <v>15</v>
      </c>
    </row>
    <row r="111" spans="1:8" ht="12.75">
      <c r="A111" s="71" t="s">
        <v>15</v>
      </c>
      <c r="B111" s="2" t="s">
        <v>2</v>
      </c>
      <c r="C111" s="24"/>
      <c r="D111" s="29">
        <v>2</v>
      </c>
      <c r="E111" s="3">
        <v>3</v>
      </c>
      <c r="G111" s="3">
        <v>2</v>
      </c>
      <c r="H111" s="54">
        <v>3</v>
      </c>
    </row>
    <row r="112" spans="1:8" ht="12.75">
      <c r="A112" s="71" t="s">
        <v>23</v>
      </c>
      <c r="B112" s="2" t="s">
        <v>2</v>
      </c>
      <c r="C112" s="24"/>
      <c r="D112" s="29">
        <v>1</v>
      </c>
      <c r="E112" s="3">
        <v>1</v>
      </c>
      <c r="G112" s="3">
        <v>1</v>
      </c>
      <c r="H112" s="54">
        <v>1</v>
      </c>
    </row>
    <row r="113" spans="1:8" ht="12.75">
      <c r="A113" s="71" t="s">
        <v>25</v>
      </c>
      <c r="B113" s="2" t="s">
        <v>2</v>
      </c>
      <c r="C113" s="24"/>
      <c r="D113" s="30">
        <f>2*D110/60*D96+2*(D111+D112)*D95</f>
        <v>22</v>
      </c>
      <c r="E113" s="8">
        <f>2*E110/60*E96+2*(E111+E112)*E95</f>
        <v>200</v>
      </c>
      <c r="G113" s="8">
        <f>2*G110/60*G96+2*(G111+G112)*G95</f>
        <v>7.333333333333333</v>
      </c>
      <c r="H113" s="55">
        <f>2*H110/60*H96+2*(H111+H112)*H95</f>
        <v>100</v>
      </c>
    </row>
    <row r="114" spans="1:9" ht="12.75">
      <c r="A114" s="71" t="s">
        <v>67</v>
      </c>
      <c r="B114" s="2" t="s">
        <v>2</v>
      </c>
      <c r="C114" s="24"/>
      <c r="D114" s="29">
        <v>10</v>
      </c>
      <c r="E114" s="3">
        <v>10</v>
      </c>
      <c r="G114" s="3">
        <v>10</v>
      </c>
      <c r="H114" s="54">
        <v>10</v>
      </c>
      <c r="I114" s="16"/>
    </row>
    <row r="115" spans="1:8" ht="12.75">
      <c r="A115" s="71" t="s">
        <v>63</v>
      </c>
      <c r="B115" s="2" t="s">
        <v>2</v>
      </c>
      <c r="C115" s="24"/>
      <c r="D115" s="29">
        <v>5</v>
      </c>
      <c r="E115" s="3">
        <v>5</v>
      </c>
      <c r="G115" s="3">
        <v>3</v>
      </c>
      <c r="H115" s="54">
        <v>3</v>
      </c>
    </row>
    <row r="116" spans="1:8" ht="12.75">
      <c r="A116" s="71" t="s">
        <v>62</v>
      </c>
      <c r="B116" s="2" t="s">
        <v>2</v>
      </c>
      <c r="C116" s="24"/>
      <c r="D116" s="29">
        <v>4</v>
      </c>
      <c r="E116" s="3">
        <v>4</v>
      </c>
      <c r="F116" s="16">
        <v>4</v>
      </c>
      <c r="G116" s="3">
        <v>4</v>
      </c>
      <c r="H116" s="54">
        <v>4</v>
      </c>
    </row>
    <row r="117" spans="1:8" ht="12.75">
      <c r="A117" s="71" t="s">
        <v>60</v>
      </c>
      <c r="B117" s="2" t="s">
        <v>2</v>
      </c>
      <c r="C117" s="24"/>
      <c r="D117" s="56">
        <v>2</v>
      </c>
      <c r="E117" s="16">
        <v>2</v>
      </c>
      <c r="F117" s="16">
        <v>2</v>
      </c>
      <c r="G117" s="16">
        <v>2</v>
      </c>
      <c r="H117" s="57">
        <v>2</v>
      </c>
    </row>
    <row r="118" spans="1:8" ht="12.75">
      <c r="A118" s="71" t="s">
        <v>26</v>
      </c>
      <c r="B118" s="2" t="s">
        <v>2</v>
      </c>
      <c r="C118" s="24"/>
      <c r="D118" s="30">
        <f>D89+D115+D114+D113+D116+D117</f>
        <v>943</v>
      </c>
      <c r="E118" s="8">
        <f>E89+E115+E114+E113+E116+E117</f>
        <v>1121</v>
      </c>
      <c r="G118" s="8">
        <f>G89+G115+G114+G113+G116+G117</f>
        <v>476.3333333333333</v>
      </c>
      <c r="H118" s="55">
        <f>H89+H115+H114+H113+H116+H117</f>
        <v>569</v>
      </c>
    </row>
    <row r="119" spans="1:8" ht="12.75">
      <c r="A119" s="71" t="s">
        <v>61</v>
      </c>
      <c r="C119" s="24"/>
      <c r="D119" s="50">
        <f>D118/D89</f>
        <v>1.0477777777777777</v>
      </c>
      <c r="E119" s="6">
        <f>E118/E89</f>
        <v>1.2455555555555555</v>
      </c>
      <c r="G119" s="6">
        <f>G118/G89</f>
        <v>1.0585185185185184</v>
      </c>
      <c r="H119" s="51">
        <f>H118/H89</f>
        <v>1.2644444444444445</v>
      </c>
    </row>
    <row r="120" spans="1:8" ht="6" customHeight="1">
      <c r="A120" s="71"/>
      <c r="C120" s="24"/>
      <c r="D120" s="40"/>
      <c r="H120" s="24"/>
    </row>
    <row r="121" spans="1:8" ht="13.5" thickBot="1">
      <c r="A121" s="73" t="s">
        <v>104</v>
      </c>
      <c r="B121" s="63" t="s">
        <v>3</v>
      </c>
      <c r="C121" s="96"/>
      <c r="D121" s="58">
        <f>INT(4*D119*D108+0.5)/4</f>
        <v>63.25</v>
      </c>
      <c r="E121" s="59">
        <f>INT(4*E119*E108+0.5)/4</f>
        <v>79.5</v>
      </c>
      <c r="F121" s="60"/>
      <c r="G121" s="61">
        <f>INT(4*G119*G108+0.5)/4</f>
        <v>64.25</v>
      </c>
      <c r="H121" s="62">
        <f>INT(4*H119*H108+0.5)/4</f>
        <v>81.25</v>
      </c>
    </row>
  </sheetData>
  <printOptions/>
  <pageMargins left="0.3937007874015748" right="0.3937007874015748" top="0.4724409448818898" bottom="0.5511811023622047" header="0.31496062992125984" footer="0.5118110236220472"/>
  <pageSetup horizontalDpi="600" verticalDpi="600" orientation="portrait" paperSize="9" r:id="rId3"/>
  <ignoredErrors>
    <ignoredError sqref="G49"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Vergleichsstundensatz</dc:title>
  <dc:subject/>
  <dc:creator/>
  <cp:keywords/>
  <dc:description/>
  <cp:lastModifiedBy>c0_install</cp:lastModifiedBy>
  <cp:lastPrinted>2011-07-13T16:27:45Z</cp:lastPrinted>
  <dcterms:created xsi:type="dcterms:W3CDTF">1996-10-14T23:33:28Z</dcterms:created>
  <dcterms:modified xsi:type="dcterms:W3CDTF">2011-07-13T16:35:18Z</dcterms:modified>
  <cp:category/>
  <cp:version/>
  <cp:contentType/>
  <cp:contentStatus/>
</cp:coreProperties>
</file>